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>
    <definedName name="ard">'Blad1'!$H$17</definedName>
    <definedName name="area_mast">'Blad1'!$D$13</definedName>
    <definedName name="arg">'Blad1'!$H$15</definedName>
    <definedName name="arm">'Blad1'!$H$13</definedName>
    <definedName name="beam">'Blad1'!$D$23</definedName>
    <definedName name="boattype">'[1]Meetbrief'!$B$22</definedName>
    <definedName name="cat.corr">'Blad1'!$H$19</definedName>
    <definedName name="crew">'Blad1'!$H$5</definedName>
    <definedName name="draft">'Blad1'!$D$6</definedName>
    <definedName name="DynPress">'Blad1'!$H$30</definedName>
    <definedName name="e">'Blad1'!$D$14</definedName>
    <definedName name="ed">'Blad1'!$H$18</definedName>
    <definedName name="eg">'Blad1'!$H$16</definedName>
    <definedName name="em">'Blad1'!$H$14</definedName>
    <definedName name="heeling">'Blad1'!$H$22</definedName>
    <definedName name="keel">'Blad1'!$H$20</definedName>
    <definedName name="lpd">'Blad1'!$D$21</definedName>
    <definedName name="lpg">'Blad1'!$D$16</definedName>
    <definedName name="msad">'Blad1'!$D$20</definedName>
    <definedName name="msag">'Blad1'!$D$15</definedName>
    <definedName name="msam">'Blad1'!$D$11</definedName>
    <definedName name="msas">'Blad1'!$D$18</definedName>
    <definedName name="msascr">'Blad1'!$D$19</definedName>
    <definedName name="prop">'Blad1'!$D$7</definedName>
    <definedName name="rated_weight">'Blad1'!$H$6</definedName>
    <definedName name="righting">'Blad1'!$H$23</definedName>
    <definedName name="rl">'Blad1'!$D$10</definedName>
    <definedName name="rsa">'Blad1'!$H$11</definedName>
    <definedName name="rsad">'Blad1'!$H$9</definedName>
    <definedName name="rsag">'Blad1'!$H$8</definedName>
    <definedName name="rsam">'Blad1'!$H$7</definedName>
    <definedName name="rsas">'Blad1'!$H$10</definedName>
    <definedName name="rw">'Blad1'!$H$6</definedName>
    <definedName name="stabfac">'Blad1'!$H$24</definedName>
    <definedName name="tri">'Blad1'!$D$8</definedName>
    <definedName name="vlg">'Blad1'!$D$17</definedName>
    <definedName name="vlm">'Blad1'!$D$12</definedName>
    <definedName name="vt">'Blad1'!$D$24</definedName>
    <definedName name="width">'Blad1'!$D$22</definedName>
    <definedName name="windcoeff">'Blad1'!$H$29</definedName>
    <definedName name="wm">'Blad1'!$D$5</definedName>
  </definedNames>
  <calcPr fullCalcOnLoad="1"/>
</workbook>
</file>

<file path=xl/sharedStrings.xml><?xml version="1.0" encoding="utf-8"?>
<sst xmlns="http://schemas.openxmlformats.org/spreadsheetml/2006/main" count="94" uniqueCount="90">
  <si>
    <t>INPUT</t>
  </si>
  <si>
    <t>intermediate calculations</t>
  </si>
  <si>
    <t>weight boat</t>
  </si>
  <si>
    <t>WM (kg)</t>
  </si>
  <si>
    <t>weight crew</t>
  </si>
  <si>
    <t>crew</t>
  </si>
  <si>
    <t>draft</t>
  </si>
  <si>
    <t>rated weight = weight boat + crew</t>
  </si>
  <si>
    <t>RW</t>
  </si>
  <si>
    <t>propeller correction</t>
  </si>
  <si>
    <t>prop</t>
  </si>
  <si>
    <t>rated sail ar. Main</t>
  </si>
  <si>
    <t>RSAM</t>
  </si>
  <si>
    <t>if trimaran input 1</t>
  </si>
  <si>
    <t>tri</t>
  </si>
  <si>
    <t>rated sail ar. Jib</t>
  </si>
  <si>
    <t>RSAG</t>
  </si>
  <si>
    <t>overall Length (Length bow to stern)</t>
  </si>
  <si>
    <t>LOA (m)</t>
  </si>
  <si>
    <t>rated length</t>
  </si>
  <si>
    <t>RL (m)</t>
  </si>
  <si>
    <t>rated sail area</t>
  </si>
  <si>
    <t>RSA</t>
  </si>
  <si>
    <t>MSAM (m²)</t>
  </si>
  <si>
    <t>RSAS</t>
  </si>
  <si>
    <t>area jib</t>
  </si>
  <si>
    <t>MSAG (m²)</t>
  </si>
  <si>
    <t>%</t>
  </si>
  <si>
    <t>area spinnaker</t>
  </si>
  <si>
    <t>MSAS (m²)</t>
  </si>
  <si>
    <t>total width</t>
  </si>
  <si>
    <t>heeling</t>
  </si>
  <si>
    <t>kgm</t>
  </si>
  <si>
    <t>righting</t>
  </si>
  <si>
    <t>keel</t>
  </si>
  <si>
    <t>OUTPUT</t>
  </si>
  <si>
    <t>Constant factors</t>
  </si>
  <si>
    <t>TR  calculated</t>
  </si>
  <si>
    <t>TR rounded</t>
  </si>
  <si>
    <t>windcoefficient</t>
  </si>
  <si>
    <t>m/s</t>
  </si>
  <si>
    <t>TCF (1 / TR)</t>
  </si>
  <si>
    <t>stability factor to use if &lt; 1</t>
  </si>
  <si>
    <t>area drifter</t>
  </si>
  <si>
    <t>MSAD (m²)</t>
  </si>
  <si>
    <t>rated sail area drifter</t>
  </si>
  <si>
    <t>RSAD</t>
  </si>
  <si>
    <t>type/name</t>
  </si>
  <si>
    <t>rated sail ar. spi / screecher</t>
  </si>
  <si>
    <t>area screecher</t>
  </si>
  <si>
    <t>MSAScr (m²)</t>
  </si>
  <si>
    <t>keel correction</t>
  </si>
  <si>
    <t>stabfac</t>
  </si>
  <si>
    <t>windspeed true wind Vt (in knots)</t>
  </si>
  <si>
    <t>knots</t>
  </si>
  <si>
    <t>beam outer hull</t>
  </si>
  <si>
    <t>width (m)</t>
  </si>
  <si>
    <t>beam (m)</t>
  </si>
  <si>
    <t>average boatspeed Vb</t>
  </si>
  <si>
    <t>Vt in knots conversed</t>
  </si>
  <si>
    <t>m²</t>
  </si>
  <si>
    <t>area mast, if rotating wingmast</t>
  </si>
  <si>
    <t>date input</t>
  </si>
  <si>
    <t>area main sail</t>
  </si>
  <si>
    <t>cat</t>
  </si>
  <si>
    <t>catamaran correction if no tri</t>
  </si>
  <si>
    <t>draft if no (dagger)boards</t>
  </si>
  <si>
    <t>dyn. press. Va in kg/m²</t>
  </si>
  <si>
    <t>perpendicular luff jib</t>
  </si>
  <si>
    <t>msam / e^2</t>
  </si>
  <si>
    <t>msag/lpg^2</t>
  </si>
  <si>
    <t>footlength main sail</t>
  </si>
  <si>
    <t>e</t>
  </si>
  <si>
    <t>lpd</t>
  </si>
  <si>
    <t>lpg</t>
  </si>
  <si>
    <t>msad/lpd^2</t>
  </si>
  <si>
    <t>Calculating TR numbers cabin multihulls 2008</t>
  </si>
  <si>
    <t xml:space="preserve">height main </t>
  </si>
  <si>
    <t>perpendicular luff drifter</t>
  </si>
  <si>
    <t>height jib</t>
  </si>
  <si>
    <t>p (= vlm)</t>
  </si>
  <si>
    <t>I (= vlg)</t>
  </si>
  <si>
    <t>main efficiency em</t>
  </si>
  <si>
    <t>jib efficiency eg</t>
  </si>
  <si>
    <t>drifter efficiency ed</t>
  </si>
  <si>
    <t>main eff. ratio  (arm)</t>
  </si>
  <si>
    <t>jib eff. ratio  (arg)</t>
  </si>
  <si>
    <t>drifter eff. ratio (ard)</t>
  </si>
  <si>
    <t>version 23-2-2008</t>
  </si>
  <si>
    <t>idec tri francis joyon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</si>
</sst>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_-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0000"/>
    <numFmt numFmtId="180" formatCode="[$-413]dddd\ d\ mmmm\ yyyy"/>
    <numFmt numFmtId="181" formatCode="[$-413]d/mmm/yy;@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 locked="0"/>
    </xf>
    <xf numFmtId="172" fontId="2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center"/>
      <protection/>
    </xf>
    <xf numFmtId="2" fontId="1" fillId="0" borderId="4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4" fontId="4" fillId="0" borderId="4" xfId="0" applyNumberFormat="1" applyFont="1" applyFill="1" applyBorder="1" applyAlignment="1" applyProtection="1" quotePrefix="1">
      <alignment horizontal="right" vertic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5" fontId="5" fillId="0" borderId="8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2" fontId="2" fillId="0" borderId="8" xfId="0" applyNumberFormat="1" applyFont="1" applyFill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181" fontId="2" fillId="0" borderId="4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175" fontId="3" fillId="0" borderId="6" xfId="0" applyNumberFormat="1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/>
      <protection/>
    </xf>
    <xf numFmtId="2" fontId="3" fillId="0" borderId="8" xfId="0" applyNumberFormat="1" applyFont="1" applyBorder="1" applyAlignment="1" applyProtection="1">
      <alignment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175" fontId="2" fillId="0" borderId="4" xfId="0" applyNumberFormat="1" applyFont="1" applyFill="1" applyBorder="1" applyAlignment="1" applyProtection="1">
      <alignment horizontal="center" vertical="center"/>
      <protection/>
    </xf>
    <xf numFmtId="174" fontId="2" fillId="0" borderId="4" xfId="0" applyNumberFormat="1" applyFont="1" applyBorder="1" applyAlignment="1" applyProtection="1">
      <alignment horizontal="center"/>
      <protection/>
    </xf>
    <xf numFmtId="174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/>
      <protection/>
    </xf>
    <xf numFmtId="175" fontId="2" fillId="0" borderId="3" xfId="0" applyNumberFormat="1" applyFont="1" applyBorder="1" applyAlignment="1" applyProtection="1">
      <alignment horizontal="left"/>
      <protection/>
    </xf>
    <xf numFmtId="2" fontId="2" fillId="0" borderId="4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rekeningen%20kajuit%20mh\individuele%20kajuit%20mh\meetbrief%20TR2008%20version%201%20restl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etbrief"/>
      <sheetName val="Berekeningen"/>
    </sheetNames>
    <sheetDataSet>
      <sheetData sheetId="0">
        <row r="22">
          <cell r="B22" t="str">
            <v>trimaran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9.7109375" style="0" bestFit="1" customWidth="1"/>
    <col min="3" max="3" width="13.00390625" style="0" customWidth="1"/>
    <col min="4" max="4" width="23.00390625" style="0" customWidth="1"/>
    <col min="5" max="5" width="9.140625" style="0" customWidth="1"/>
    <col min="6" max="6" width="27.00390625" style="0" customWidth="1"/>
    <col min="7" max="7" width="10.8515625" style="0" customWidth="1"/>
    <col min="8" max="16384" width="9.140625" style="0" customWidth="1"/>
  </cols>
  <sheetData>
    <row r="1" spans="1:8" ht="12.75">
      <c r="A1" s="22" t="s">
        <v>76</v>
      </c>
      <c r="C1" s="14"/>
      <c r="D1" s="23" t="s">
        <v>88</v>
      </c>
      <c r="E1" s="15"/>
      <c r="F1" s="15"/>
      <c r="G1" s="15"/>
      <c r="H1" s="16"/>
    </row>
    <row r="2" spans="1:8" ht="13.5" thickBot="1">
      <c r="A2" s="14"/>
      <c r="B2" s="17"/>
      <c r="C2" s="15"/>
      <c r="D2" s="15"/>
      <c r="E2" s="15"/>
      <c r="F2" s="15"/>
      <c r="G2" s="15"/>
      <c r="H2" s="16"/>
    </row>
    <row r="3" spans="1:8" ht="12.75">
      <c r="A3" s="14"/>
      <c r="B3" s="1" t="s">
        <v>0</v>
      </c>
      <c r="C3" s="20" t="s">
        <v>47</v>
      </c>
      <c r="D3" s="21" t="s">
        <v>89</v>
      </c>
      <c r="E3" s="3"/>
      <c r="F3" s="51" t="s">
        <v>1</v>
      </c>
      <c r="G3" s="52"/>
      <c r="H3" s="53"/>
    </row>
    <row r="4" spans="1:8" ht="12.75">
      <c r="A4" s="14"/>
      <c r="B4" s="6" t="s">
        <v>62</v>
      </c>
      <c r="C4" s="5"/>
      <c r="D4" s="35">
        <v>39567</v>
      </c>
      <c r="E4" s="3"/>
      <c r="F4" s="36"/>
      <c r="G4" s="37"/>
      <c r="H4" s="38"/>
    </row>
    <row r="5" spans="1:8" ht="12.75">
      <c r="A5" s="14"/>
      <c r="B5" s="6" t="s">
        <v>2</v>
      </c>
      <c r="C5" s="3" t="s">
        <v>3</v>
      </c>
      <c r="D5" s="7">
        <v>11000</v>
      </c>
      <c r="E5" s="3"/>
      <c r="F5" s="6" t="s">
        <v>4</v>
      </c>
      <c r="G5" s="37" t="s">
        <v>5</v>
      </c>
      <c r="H5" s="39">
        <f>rl*40-70</f>
        <v>1090</v>
      </c>
    </row>
    <row r="6" spans="1:8" ht="12.75">
      <c r="A6" s="14"/>
      <c r="B6" s="6" t="s">
        <v>66</v>
      </c>
      <c r="C6" s="3" t="s">
        <v>6</v>
      </c>
      <c r="D6" s="7"/>
      <c r="E6" s="3"/>
      <c r="F6" s="6" t="s">
        <v>7</v>
      </c>
      <c r="G6" s="3" t="s">
        <v>8</v>
      </c>
      <c r="H6" s="43">
        <f>wm+crew</f>
        <v>12090</v>
      </c>
    </row>
    <row r="7" spans="1:8" ht="12.75">
      <c r="A7" s="14"/>
      <c r="B7" s="6" t="s">
        <v>9</v>
      </c>
      <c r="C7" s="15" t="s">
        <v>10</v>
      </c>
      <c r="D7" s="7"/>
      <c r="E7" s="3"/>
      <c r="F7" s="6" t="s">
        <v>11</v>
      </c>
      <c r="G7" s="3" t="s">
        <v>12</v>
      </c>
      <c r="H7" s="44">
        <f>msam*em*0.01+area_mast</f>
        <v>225.89475895771557</v>
      </c>
    </row>
    <row r="8" spans="1:8" ht="12.75">
      <c r="A8" s="14"/>
      <c r="B8" s="6" t="s">
        <v>13</v>
      </c>
      <c r="C8" s="3" t="s">
        <v>14</v>
      </c>
      <c r="D8" s="7">
        <v>1</v>
      </c>
      <c r="E8" s="8"/>
      <c r="F8" s="6" t="s">
        <v>15</v>
      </c>
      <c r="G8" s="3" t="s">
        <v>16</v>
      </c>
      <c r="H8" s="44">
        <f>msag*eg*0.01</f>
        <v>98.45585511043696</v>
      </c>
    </row>
    <row r="9" spans="1:8" ht="12.75">
      <c r="A9" s="14"/>
      <c r="B9" s="6" t="s">
        <v>17</v>
      </c>
      <c r="C9" s="3" t="s">
        <v>18</v>
      </c>
      <c r="D9" s="9">
        <v>29.7</v>
      </c>
      <c r="E9" s="3"/>
      <c r="F9" s="10" t="s">
        <v>45</v>
      </c>
      <c r="G9" s="11" t="s">
        <v>46</v>
      </c>
      <c r="H9" s="44">
        <f>msad*ed*0.01</f>
        <v>0</v>
      </c>
    </row>
    <row r="10" spans="1:8" ht="12.75">
      <c r="A10" s="14"/>
      <c r="B10" s="6" t="s">
        <v>19</v>
      </c>
      <c r="C10" s="3" t="s">
        <v>20</v>
      </c>
      <c r="D10" s="9">
        <v>29</v>
      </c>
      <c r="E10" s="3"/>
      <c r="F10" s="6" t="s">
        <v>48</v>
      </c>
      <c r="G10" s="3" t="s">
        <v>24</v>
      </c>
      <c r="H10" s="44">
        <f>msas*0.07+msascr*0.1</f>
        <v>11.9</v>
      </c>
    </row>
    <row r="11" spans="1:8" ht="12.75">
      <c r="A11" s="14"/>
      <c r="B11" s="6" t="s">
        <v>63</v>
      </c>
      <c r="C11" s="3" t="s">
        <v>23</v>
      </c>
      <c r="D11" s="9">
        <v>250</v>
      </c>
      <c r="E11" s="3"/>
      <c r="F11" s="6" t="s">
        <v>21</v>
      </c>
      <c r="G11" s="3" t="s">
        <v>22</v>
      </c>
      <c r="H11" s="44">
        <f>rsam+rsag+rsas+IF(rsad-rsag&gt;0,rsad-rsag)</f>
        <v>336.2506140681525</v>
      </c>
    </row>
    <row r="12" spans="1:8" ht="12.75">
      <c r="A12" s="14"/>
      <c r="B12" s="10" t="s">
        <v>77</v>
      </c>
      <c r="C12" s="11" t="s">
        <v>80</v>
      </c>
      <c r="D12" s="12">
        <v>32</v>
      </c>
      <c r="E12" s="3"/>
      <c r="F12" s="6"/>
      <c r="H12" s="44"/>
    </row>
    <row r="13" spans="1:8" ht="12.75">
      <c r="A13" s="14"/>
      <c r="B13" s="6" t="s">
        <v>61</v>
      </c>
      <c r="C13" s="3" t="s">
        <v>60</v>
      </c>
      <c r="D13" s="9"/>
      <c r="E13" s="3"/>
      <c r="F13" s="6" t="s">
        <v>85</v>
      </c>
      <c r="G13" s="3" t="s">
        <v>69</v>
      </c>
      <c r="H13" s="44">
        <f>IF(e,msam/e^2,0)</f>
        <v>3.0864197530864197</v>
      </c>
    </row>
    <row r="14" spans="1:8" ht="12.75">
      <c r="A14" s="14"/>
      <c r="B14" s="6" t="s">
        <v>71</v>
      </c>
      <c r="C14" s="3" t="s">
        <v>72</v>
      </c>
      <c r="D14" s="9">
        <v>9</v>
      </c>
      <c r="E14" s="3"/>
      <c r="F14" s="6" t="s">
        <v>82</v>
      </c>
      <c r="G14" s="3" t="s">
        <v>27</v>
      </c>
      <c r="H14" s="45">
        <f>63*arm^0.32</f>
        <v>90.35790358308623</v>
      </c>
    </row>
    <row r="15" spans="1:8" ht="12.75">
      <c r="A15" s="14"/>
      <c r="B15" s="6" t="s">
        <v>25</v>
      </c>
      <c r="C15" s="3" t="s">
        <v>26</v>
      </c>
      <c r="D15" s="9">
        <v>100</v>
      </c>
      <c r="E15" s="3"/>
      <c r="F15" s="6" t="s">
        <v>86</v>
      </c>
      <c r="G15" s="3" t="s">
        <v>70</v>
      </c>
      <c r="H15" s="44">
        <f>IF(lpg,msag/lpg^2)</f>
        <v>2.7777777777777777</v>
      </c>
    </row>
    <row r="16" spans="1:8" ht="12.75">
      <c r="A16" s="14"/>
      <c r="B16" s="6" t="s">
        <v>68</v>
      </c>
      <c r="C16" s="3" t="s">
        <v>74</v>
      </c>
      <c r="D16" s="9">
        <v>6</v>
      </c>
      <c r="E16" s="3"/>
      <c r="F16" s="6" t="s">
        <v>83</v>
      </c>
      <c r="G16" s="3" t="s">
        <v>27</v>
      </c>
      <c r="H16" s="45">
        <f>71*arg^0.32</f>
        <v>98.45585511043694</v>
      </c>
    </row>
    <row r="17" spans="1:8" ht="12.75">
      <c r="A17" s="14"/>
      <c r="B17" s="10" t="s">
        <v>79</v>
      </c>
      <c r="C17" s="11" t="s">
        <v>81</v>
      </c>
      <c r="D17" s="9">
        <v>26</v>
      </c>
      <c r="E17" s="3"/>
      <c r="F17" s="10" t="s">
        <v>87</v>
      </c>
      <c r="G17" s="11" t="s">
        <v>75</v>
      </c>
      <c r="H17" s="44">
        <f>IF(lpd,msad/lpd^2,0)</f>
        <v>0</v>
      </c>
    </row>
    <row r="18" spans="1:8" ht="12.75">
      <c r="A18" s="14"/>
      <c r="B18" s="6" t="s">
        <v>28</v>
      </c>
      <c r="C18" s="3" t="s">
        <v>29</v>
      </c>
      <c r="D18" s="9">
        <v>170</v>
      </c>
      <c r="E18" s="3"/>
      <c r="F18" s="6" t="s">
        <v>84</v>
      </c>
      <c r="G18" s="3" t="s">
        <v>27</v>
      </c>
      <c r="H18" s="45">
        <f>71*ard^0.32</f>
        <v>0</v>
      </c>
    </row>
    <row r="19" spans="1:8" ht="12.75">
      <c r="A19" s="14"/>
      <c r="B19" s="10" t="s">
        <v>49</v>
      </c>
      <c r="C19" s="3" t="s">
        <v>50</v>
      </c>
      <c r="D19" s="9"/>
      <c r="E19" s="3"/>
      <c r="F19" s="6" t="s">
        <v>65</v>
      </c>
      <c r="G19" s="3" t="s">
        <v>64</v>
      </c>
      <c r="H19" s="47">
        <f>IF(tri=1,1,MAX(1,1/(0.19*rsa^0.4/rw^0.36+0.91)))</f>
        <v>1</v>
      </c>
    </row>
    <row r="20" spans="1:8" ht="12.75">
      <c r="A20" s="14"/>
      <c r="B20" s="10" t="s">
        <v>43</v>
      </c>
      <c r="C20" s="11" t="s">
        <v>44</v>
      </c>
      <c r="D20" s="9"/>
      <c r="E20" s="3"/>
      <c r="F20" s="6" t="s">
        <v>51</v>
      </c>
      <c r="G20" s="3" t="s">
        <v>34</v>
      </c>
      <c r="H20" s="47">
        <f>IF(draft&gt;0,0.94/(draft/rl)^0.037,"")</f>
      </c>
    </row>
    <row r="21" spans="1:8" ht="12.75">
      <c r="A21" s="14"/>
      <c r="B21" s="6" t="s">
        <v>78</v>
      </c>
      <c r="C21" s="11" t="s">
        <v>73</v>
      </c>
      <c r="D21" s="9"/>
      <c r="E21" s="3"/>
      <c r="F21" s="6"/>
      <c r="G21" s="3"/>
      <c r="H21" s="46"/>
    </row>
    <row r="22" spans="1:8" ht="12.75">
      <c r="A22" s="14"/>
      <c r="B22" s="10" t="s">
        <v>30</v>
      </c>
      <c r="C22" s="11" t="s">
        <v>56</v>
      </c>
      <c r="D22" s="12">
        <v>16.5</v>
      </c>
      <c r="E22" s="3"/>
      <c r="F22" s="6" t="s">
        <v>31</v>
      </c>
      <c r="G22" s="3" t="s">
        <v>32</v>
      </c>
      <c r="H22" s="45">
        <f>((0.42*vlm+0.28*rl)*msam+(0.33*vlg+0.2*rl)*msag)*DynPress</f>
        <v>87652.50000000927</v>
      </c>
    </row>
    <row r="23" spans="1:8" ht="12.75">
      <c r="A23" s="14"/>
      <c r="B23" s="30" t="s">
        <v>55</v>
      </c>
      <c r="C23" s="11" t="s">
        <v>57</v>
      </c>
      <c r="D23" s="34">
        <v>2</v>
      </c>
      <c r="E23" s="3"/>
      <c r="F23" s="6" t="s">
        <v>33</v>
      </c>
      <c r="G23" s="3" t="s">
        <v>32</v>
      </c>
      <c r="H23" s="45">
        <f>IF(wm,0.5*rated_weight*(width-beam))</f>
        <v>87652.5</v>
      </c>
    </row>
    <row r="24" spans="1:8" ht="13.5" thickBot="1">
      <c r="A24" s="14"/>
      <c r="B24" s="32" t="s">
        <v>53</v>
      </c>
      <c r="C24" s="31" t="s">
        <v>54</v>
      </c>
      <c r="D24" s="33">
        <v>14.72534673360516</v>
      </c>
      <c r="E24" s="3"/>
      <c r="F24" s="6" t="s">
        <v>42</v>
      </c>
      <c r="G24" s="3" t="s">
        <v>52</v>
      </c>
      <c r="H24" s="44">
        <f>righting/heeling</f>
        <v>0.9999999999998942</v>
      </c>
    </row>
    <row r="25" spans="1:8" ht="13.5" thickBot="1">
      <c r="A25" s="14"/>
      <c r="E25" s="3"/>
      <c r="F25" s="6"/>
      <c r="H25" s="44"/>
    </row>
    <row r="26" spans="1:8" ht="12.75">
      <c r="A26" s="14"/>
      <c r="B26" s="1" t="s">
        <v>35</v>
      </c>
      <c r="C26" s="2"/>
      <c r="D26" s="13"/>
      <c r="E26" s="3"/>
      <c r="F26" s="6"/>
      <c r="G26" s="3"/>
      <c r="H26" s="46"/>
    </row>
    <row r="27" spans="1:8" ht="12.75">
      <c r="A27" s="14"/>
      <c r="B27" s="4" t="s">
        <v>37</v>
      </c>
      <c r="C27" s="3"/>
      <c r="D27" s="18">
        <f>100/(0.99*rl^0.3*rsa^0.4/rated_weight^0.3)*cat.corr</f>
        <v>60.215467412328174</v>
      </c>
      <c r="E27" s="3"/>
      <c r="F27" s="54" t="s">
        <v>36</v>
      </c>
      <c r="G27" s="55"/>
      <c r="H27" s="56"/>
    </row>
    <row r="28" spans="1:8" ht="12.75">
      <c r="A28" s="14"/>
      <c r="B28" s="4" t="s">
        <v>38</v>
      </c>
      <c r="C28" s="3"/>
      <c r="D28" s="19">
        <f>ROUND(IF(AND(draft&gt;0,prop&gt;0),keel*prop*D27,IF(draft,keel*D27,IF(prop,prop*D27,D27))),0)</f>
        <v>60</v>
      </c>
      <c r="E28" s="3"/>
      <c r="F28" s="6"/>
      <c r="G28" s="15"/>
      <c r="H28" s="48"/>
    </row>
    <row r="29" spans="1:8" ht="12.75">
      <c r="A29" s="14"/>
      <c r="B29" s="4" t="s">
        <v>41</v>
      </c>
      <c r="C29" s="3"/>
      <c r="D29" s="26">
        <f>100/D28</f>
        <v>1.6666666666666667</v>
      </c>
      <c r="E29" s="3"/>
      <c r="F29" s="49" t="s">
        <v>39</v>
      </c>
      <c r="G29" s="3"/>
      <c r="H29" s="50">
        <v>0.07</v>
      </c>
    </row>
    <row r="30" spans="1:8" ht="12.75">
      <c r="A30" s="14"/>
      <c r="B30" s="4" t="s">
        <v>59</v>
      </c>
      <c r="C30" s="25" t="s">
        <v>40</v>
      </c>
      <c r="D30" s="24">
        <f>vt*1852/3600</f>
        <v>7.575372819621321</v>
      </c>
      <c r="E30" s="3"/>
      <c r="F30" s="6" t="s">
        <v>67</v>
      </c>
      <c r="G30" s="3"/>
      <c r="H30" s="50">
        <f>windcoeff*vt*vt*(4.4-0.02*D27)*(1852/3600)^2</f>
        <v>12.837214411249159</v>
      </c>
    </row>
    <row r="31" spans="1:8" ht="13.5" thickBot="1">
      <c r="A31" s="14"/>
      <c r="B31" s="27" t="s">
        <v>58</v>
      </c>
      <c r="C31" s="28" t="s">
        <v>54</v>
      </c>
      <c r="D31" s="29">
        <f>164*vt^0.66/D28</f>
        <v>16.129312166583087</v>
      </c>
      <c r="E31" s="3"/>
      <c r="F31" s="40"/>
      <c r="G31" s="41"/>
      <c r="H31" s="42"/>
    </row>
    <row r="32" ht="12.75">
      <c r="E32" s="3"/>
    </row>
  </sheetData>
  <sheetProtection sheet="1" objects="1" scenarios="1"/>
  <mergeCells count="2">
    <mergeCell ref="F3:H3"/>
    <mergeCell ref="F27:H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docent met pensioen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</dc:creator>
  <cp:keywords/>
  <dc:description/>
  <cp:lastModifiedBy>1</cp:lastModifiedBy>
  <cp:lastPrinted>2008-02-11T19:41:32Z</cp:lastPrinted>
  <dcterms:created xsi:type="dcterms:W3CDTF">2005-09-30T16:30:59Z</dcterms:created>
  <dcterms:modified xsi:type="dcterms:W3CDTF">2008-10-05T10:10:25Z</dcterms:modified>
  <cp:category/>
  <cp:version/>
  <cp:contentType/>
  <cp:contentStatus/>
</cp:coreProperties>
</file>